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ta\Dropbox\Cloud Documents\Talks\"/>
    </mc:Choice>
  </mc:AlternateContent>
  <bookViews>
    <workbookView xWindow="0" yWindow="0" windowWidth="19200" windowHeight="6940" activeTab="1" xr2:uid="{00000000-000D-0000-FFFF-FFFF00000000}"/>
  </bookViews>
  <sheets>
    <sheet name="Worksheet" sheetId="4" r:id="rId1"/>
    <sheet name="Exercises" sheetId="5" r:id="rId2"/>
  </sheets>
  <calcPr calcId="171027"/>
</workbook>
</file>

<file path=xl/calcChain.xml><?xml version="1.0" encoding="utf-8"?>
<calcChain xmlns="http://schemas.openxmlformats.org/spreadsheetml/2006/main">
  <c r="D44" i="4" l="1"/>
  <c r="D39" i="4"/>
  <c r="E61" i="4" l="1"/>
  <c r="D52" i="4"/>
  <c r="F29" i="4"/>
  <c r="F30" i="4" s="1"/>
  <c r="F32" i="4" s="1"/>
  <c r="F11" i="4"/>
  <c r="F12" i="4" s="1"/>
  <c r="F14" i="4" s="1"/>
  <c r="E18" i="4" s="1"/>
  <c r="E17" i="4"/>
  <c r="F46" i="4" l="1"/>
  <c r="D53" i="4" s="1"/>
  <c r="E56" i="4" s="1"/>
  <c r="E19" i="4"/>
  <c r="E58" i="4" l="1"/>
  <c r="E63" i="4" l="1"/>
  <c r="E67" i="4" s="1"/>
  <c r="E59" i="4"/>
  <c r="E65" i="4"/>
</calcChain>
</file>

<file path=xl/sharedStrings.xml><?xml version="1.0" encoding="utf-8"?>
<sst xmlns="http://schemas.openxmlformats.org/spreadsheetml/2006/main" count="98" uniqueCount="91">
  <si>
    <t>40K/K</t>
  </si>
  <si>
    <t>lambda_electron capture/</t>
  </si>
  <si>
    <t>Age of the Earth</t>
  </si>
  <si>
    <t>4He/40Ar</t>
  </si>
  <si>
    <t>lambda_U238</t>
  </si>
  <si>
    <t>lambda_U235</t>
  </si>
  <si>
    <t>lambda_Th232</t>
  </si>
  <si>
    <t>err</t>
  </si>
  <si>
    <t>4He flux</t>
  </si>
  <si>
    <t>Javoy et al. (2010)</t>
  </si>
  <si>
    <t>Lyubetskaya &amp; Korenaga (2007)</t>
  </si>
  <si>
    <t>McDonough and Sun (1995)</t>
  </si>
  <si>
    <t>2 sigma</t>
  </si>
  <si>
    <t>Compositional Model</t>
  </si>
  <si>
    <t>Atmospheric+Crust 40Ar (moles)</t>
  </si>
  <si>
    <t>40Ar in the mantle (moles)</t>
  </si>
  <si>
    <t>(moles/yr)</t>
  </si>
  <si>
    <t>(moles)</t>
  </si>
  <si>
    <t>Conc of 40Ar in the reservoir</t>
  </si>
  <si>
    <t>(moles/g)</t>
  </si>
  <si>
    <t>40Ar(t)=K*(40K/K)*(lambda_electron capture/lambda)*(Exp(lambda*t)-1)</t>
  </si>
  <si>
    <t>K/U ratio of the MORB source</t>
  </si>
  <si>
    <t>Minimum K content of reservoir</t>
  </si>
  <si>
    <t>(ppm)</t>
  </si>
  <si>
    <t>Fraction 40Ar in mantle</t>
  </si>
  <si>
    <t>(e.g.,LLSVPs)</t>
  </si>
  <si>
    <t>Constants used in calculation</t>
  </si>
  <si>
    <t>mantle K (ppm)</t>
  </si>
  <si>
    <t>Enter K content (ppm):</t>
  </si>
  <si>
    <t>1. Calculate total moles of 40Ar produced over age of the Earth</t>
  </si>
  <si>
    <t>D = D0 + P*Y*(exp(lambda*t)-1):</t>
  </si>
  <si>
    <t>Convert ppm to total moles K in mantle:</t>
  </si>
  <si>
    <t>How many moles of initial (primordial) 40Ar (D0):</t>
  </si>
  <si>
    <t>mass of mantle</t>
  </si>
  <si>
    <t>Determine how many total moles 40K today:</t>
  </si>
  <si>
    <t>2. The atmosphere accounts for 1.65e18 moles, and the crust for 0.3e18 moles 40Ar. How much 40Ar must be in the mantle?</t>
  </si>
  <si>
    <t>3. How much 40Ar do we actually infer for the MORB mantle?</t>
  </si>
  <si>
    <t xml:space="preserve"> (Based on measurements of noble gases in mantle-derived rocks and a K/U model of the mantle)</t>
  </si>
  <si>
    <t>atm 3He/4He ratio</t>
  </si>
  <si>
    <t>Average MORB 3He/4He ratio:</t>
  </si>
  <si>
    <t>units</t>
  </si>
  <si>
    <t>value</t>
  </si>
  <si>
    <t>Ra</t>
  </si>
  <si>
    <t>Convert to 4He/3He ratio:</t>
  </si>
  <si>
    <t>Mantle processing rate</t>
  </si>
  <si>
    <t>(g/yr)</t>
  </si>
  <si>
    <t>Mantle 4He concentration:</t>
  </si>
  <si>
    <t>Equations:</t>
  </si>
  <si>
    <t>4He(t)=8*U*(Exp(lamda_U238*t) - 1) + 7*(U/137.88)*(Exp(lambda_U235*t) - 1) +6*(Th/U)*U*(Exp(lamda_Th232*t) - 1)</t>
  </si>
  <si>
    <t>232Th/238U</t>
  </si>
  <si>
    <t>K/U wt ratio</t>
  </si>
  <si>
    <t>K/U atomic ratio</t>
  </si>
  <si>
    <t>The 4He/40Ar production ratio varies over time, since K, U and Th all decay at different rates.</t>
  </si>
  <si>
    <t>3b. Next compute the expected production ratio of 40Ar/4He (based on K/U):</t>
  </si>
  <si>
    <t>3a. Start with the 3He flux from the mantle:</t>
  </si>
  <si>
    <t>Bianchi et al. (2010)</t>
  </si>
  <si>
    <t>Craig et al. (1975)</t>
  </si>
  <si>
    <t>Arevalo and McDonough (2009)</t>
  </si>
  <si>
    <t>See Jochum et al. (1983) and Gale et al. (2013)</t>
  </si>
  <si>
    <t>We can get the integrated 4He/40Ar over the past (delta-T), where (delta-T) is the mantle residence time for Ar:</t>
  </si>
  <si>
    <t>3c. Mantle 40Ar concentration:</t>
  </si>
  <si>
    <t>4. How much of the mantle is the MORB source?</t>
  </si>
  <si>
    <t>Mass of MORB source:</t>
  </si>
  <si>
    <t>Moles 40Ar in MORB source:</t>
  </si>
  <si>
    <t>5. Can we square up the terrestrial 40Ar budget with the MORB source?</t>
  </si>
  <si>
    <t xml:space="preserve"> Fraction of Earth's 40Ar in the MORB source:</t>
  </si>
  <si>
    <t>Missing 40Ar budget</t>
  </si>
  <si>
    <t>Mass of non-MORB mantle reservoir (g)</t>
  </si>
  <si>
    <t>Concentration contrast</t>
  </si>
  <si>
    <t>(MORB/missing reservoir)</t>
  </si>
  <si>
    <t>3He flux to the oceans from ridges</t>
  </si>
  <si>
    <t>Mantle Ar residence time (yrs)</t>
  </si>
  <si>
    <t>lambda-40K</t>
  </si>
  <si>
    <t>(grams)</t>
  </si>
  <si>
    <t>(yr^-1)</t>
  </si>
  <si>
    <t>(yr)</t>
  </si>
  <si>
    <t>try a wide range!</t>
  </si>
  <si>
    <t>try 0-1</t>
  </si>
  <si>
    <t>Fraction of mantle - MORB source:</t>
  </si>
  <si>
    <t>bulk Earth K content ~ 230 ppm</t>
  </si>
  <si>
    <t>A. Try 5 different values of the MORB source K content, and plot the resulting mantle 40Ar concentration</t>
  </si>
  <si>
    <t>B.  Try 5 different values of the 3He flux out of the mantle, and plot the resulting mantle 40Ar concentration</t>
  </si>
  <si>
    <t>C.  Try 5 different values of the MORB K/U ratio, and plot the resulting mantle 40Ar concentration</t>
  </si>
  <si>
    <t>D. How sensitive is the 4He/40Ar ratio to residence time?  Try 5 different values of the residence time, and plot the resulting mantle 40Ar concentration</t>
  </si>
  <si>
    <t>E. Choose a set of parameters and explore how the mass of the MORB source reservoir affects the K content of the hidden reservoir, the Ar concentration contrast</t>
  </si>
  <si>
    <t>Jackson and Jellinek (2013)</t>
  </si>
  <si>
    <t>Percent "missing Ar":</t>
  </si>
  <si>
    <t xml:space="preserve">total moles 40Ar </t>
  </si>
  <si>
    <t>moles initial 40Ar</t>
  </si>
  <si>
    <t xml:space="preserve">and the fraction of 40Ar in the MORB source. </t>
  </si>
  <si>
    <t>F. Can you find a parameter set that removes the necessity for a hidden reservoir? (I.e., minimize the % missing 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</si>
</sst>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E+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rgb="FFFFFFCC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5">
    <xf numFmtId="0" fontId="0" fillId="0" borderId="0" xfId="0"/>
    <xf numFmtId="11" fontId="0" fillId="0" borderId="0" xfId="0" applyNumberFormat="1"/>
    <xf numFmtId="0" fontId="1" fillId="0" borderId="0" xfId="0" applyFont="1"/>
    <xf numFmtId="1" fontId="0" fillId="0" borderId="0" xfId="0" applyNumberFormat="1"/>
    <xf numFmtId="0" fontId="0" fillId="2" borderId="0" xfId="0" applyFill="1"/>
    <xf numFmtId="11" fontId="0" fillId="2" borderId="0" xfId="0" applyNumberFormat="1" applyFill="1"/>
    <xf numFmtId="0" fontId="1" fillId="2" borderId="0" xfId="0" applyFont="1" applyFill="1"/>
    <xf numFmtId="2" fontId="0" fillId="2" borderId="0" xfId="0" applyNumberFormat="1" applyFill="1"/>
    <xf numFmtId="0" fontId="0" fillId="4" borderId="0" xfId="0" applyFill="1"/>
    <xf numFmtId="0" fontId="1" fillId="2" borderId="2" xfId="0" applyFont="1" applyFill="1" applyBorder="1"/>
    <xf numFmtId="0" fontId="0" fillId="2" borderId="3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4" fillId="2" borderId="0" xfId="0" applyFont="1" applyFill="1"/>
    <xf numFmtId="0" fontId="2" fillId="6" borderId="0" xfId="0" applyFont="1" applyFill="1"/>
    <xf numFmtId="0" fontId="4" fillId="6" borderId="0" xfId="0" applyFont="1" applyFill="1"/>
    <xf numFmtId="0" fontId="0" fillId="6" borderId="0" xfId="0" applyFill="1"/>
    <xf numFmtId="0" fontId="1" fillId="6" borderId="0" xfId="0" applyFont="1" applyFill="1"/>
    <xf numFmtId="3" fontId="4" fillId="6" borderId="0" xfId="0" applyNumberFormat="1" applyFont="1" applyFill="1"/>
    <xf numFmtId="0" fontId="1" fillId="6" borderId="0" xfId="0" applyFont="1" applyFill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0" fillId="6" borderId="6" xfId="0" applyFill="1" applyBorder="1"/>
    <xf numFmtId="0" fontId="0" fillId="6" borderId="7" xfId="0" applyFill="1" applyBorder="1" applyAlignment="1">
      <alignment horizontal="center"/>
    </xf>
    <xf numFmtId="0" fontId="0" fillId="6" borderId="8" xfId="0" applyFill="1" applyBorder="1"/>
    <xf numFmtId="0" fontId="0" fillId="6" borderId="9" xfId="0" applyFill="1" applyBorder="1"/>
    <xf numFmtId="11" fontId="0" fillId="6" borderId="0" xfId="0" applyNumberFormat="1" applyFill="1"/>
    <xf numFmtId="0" fontId="5" fillId="6" borderId="0" xfId="0" applyFont="1" applyFill="1"/>
    <xf numFmtId="0" fontId="3" fillId="6" borderId="0" xfId="0" applyFont="1" applyFill="1"/>
    <xf numFmtId="0" fontId="1" fillId="6" borderId="2" xfId="0" applyFont="1" applyFill="1" applyBorder="1"/>
    <xf numFmtId="0" fontId="0" fillId="6" borderId="5" xfId="0" applyFill="1" applyBorder="1"/>
    <xf numFmtId="0" fontId="0" fillId="6" borderId="7" xfId="0" applyFill="1" applyBorder="1"/>
    <xf numFmtId="3" fontId="6" fillId="3" borderId="0" xfId="0" applyNumberFormat="1" applyFont="1" applyFill="1"/>
    <xf numFmtId="11" fontId="6" fillId="3" borderId="0" xfId="0" applyNumberFormat="1" applyFont="1" applyFill="1"/>
    <xf numFmtId="0" fontId="7" fillId="6" borderId="10" xfId="0" applyFont="1" applyFill="1" applyBorder="1"/>
    <xf numFmtId="2" fontId="8" fillId="6" borderId="11" xfId="0" applyNumberFormat="1" applyFont="1" applyFill="1" applyBorder="1"/>
    <xf numFmtId="11" fontId="8" fillId="6" borderId="1" xfId="0" applyNumberFormat="1" applyFont="1" applyFill="1" applyBorder="1"/>
    <xf numFmtId="0" fontId="0" fillId="3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7" borderId="0" xfId="0" applyFill="1"/>
    <xf numFmtId="0" fontId="1" fillId="7" borderId="0" xfId="0" applyFont="1" applyFill="1" applyAlignment="1">
      <alignment horizontal="left"/>
    </xf>
    <xf numFmtId="0" fontId="4" fillId="5" borderId="0" xfId="0" applyFont="1" applyFill="1"/>
    <xf numFmtId="0" fontId="0" fillId="5" borderId="0" xfId="0" applyFill="1"/>
    <xf numFmtId="11" fontId="0" fillId="5" borderId="0" xfId="0" applyNumberFormat="1" applyFill="1"/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right"/>
    </xf>
    <xf numFmtId="1" fontId="0" fillId="5" borderId="0" xfId="0" applyNumberFormat="1" applyFill="1"/>
    <xf numFmtId="0" fontId="6" fillId="8" borderId="0" xfId="0" applyFont="1" applyFill="1"/>
    <xf numFmtId="0" fontId="1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1" fontId="0" fillId="7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9" fillId="7" borderId="0" xfId="0" applyFont="1" applyFill="1"/>
    <xf numFmtId="0" fontId="10" fillId="7" borderId="0" xfId="0" applyFont="1" applyFill="1"/>
    <xf numFmtId="0" fontId="11" fillId="6" borderId="0" xfId="0" applyFont="1" applyFill="1"/>
    <xf numFmtId="0" fontId="12" fillId="5" borderId="0" xfId="0" applyFont="1" applyFill="1" applyAlignment="1">
      <alignment horizontal="center"/>
    </xf>
    <xf numFmtId="0" fontId="7" fillId="2" borderId="10" xfId="0" applyFont="1" applyFill="1" applyBorder="1"/>
    <xf numFmtId="0" fontId="8" fillId="2" borderId="12" xfId="0" applyFont="1" applyFill="1" applyBorder="1"/>
    <xf numFmtId="11" fontId="8" fillId="2" borderId="11" xfId="0" applyNumberFormat="1" applyFont="1" applyFill="1" applyBorder="1"/>
    <xf numFmtId="0" fontId="0" fillId="5" borderId="0" xfId="0" applyFont="1" applyFill="1"/>
    <xf numFmtId="0" fontId="8" fillId="5" borderId="0" xfId="0" applyFont="1" applyFill="1"/>
    <xf numFmtId="0" fontId="8" fillId="5" borderId="10" xfId="0" applyFont="1" applyFill="1" applyBorder="1"/>
    <xf numFmtId="0" fontId="7" fillId="5" borderId="12" xfId="0" applyFont="1" applyFill="1" applyBorder="1"/>
    <xf numFmtId="2" fontId="8" fillId="5" borderId="11" xfId="0" applyNumberFormat="1" applyFont="1" applyFill="1" applyBorder="1"/>
    <xf numFmtId="0" fontId="7" fillId="5" borderId="2" xfId="0" applyFont="1" applyFill="1" applyBorder="1"/>
    <xf numFmtId="0" fontId="8" fillId="5" borderId="3" xfId="0" applyFont="1" applyFill="1" applyBorder="1"/>
    <xf numFmtId="11" fontId="8" fillId="5" borderId="4" xfId="0" applyNumberFormat="1" applyFont="1" applyFill="1" applyBorder="1"/>
    <xf numFmtId="0" fontId="7" fillId="5" borderId="7" xfId="0" applyFont="1" applyFill="1" applyBorder="1"/>
    <xf numFmtId="0" fontId="8" fillId="5" borderId="8" xfId="0" applyFont="1" applyFill="1" applyBorder="1"/>
    <xf numFmtId="9" fontId="14" fillId="5" borderId="9" xfId="1" applyFont="1" applyFill="1" applyBorder="1"/>
    <xf numFmtId="0" fontId="14" fillId="5" borderId="8" xfId="0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4DACC-DF8D-46C3-8EB9-B446DC2D352B}">
  <dimension ref="A1:Q70"/>
  <sheetViews>
    <sheetView workbookViewId="0">
      <selection activeCell="D10" sqref="D10"/>
    </sheetView>
  </sheetViews>
  <sheetFormatPr defaultRowHeight="14.5" x14ac:dyDescent="0.35"/>
  <cols>
    <col min="3" max="3" width="20.81640625" customWidth="1"/>
    <col min="4" max="4" width="15.7265625" customWidth="1"/>
    <col min="5" max="5" width="16.81640625" customWidth="1"/>
    <col min="6" max="6" width="9.54296875" customWidth="1"/>
    <col min="9" max="9" width="8.7265625" customWidth="1"/>
    <col min="10" max="10" width="13.81640625" customWidth="1"/>
    <col min="11" max="11" width="27.1796875" customWidth="1"/>
    <col min="12" max="12" width="13.7265625" customWidth="1"/>
    <col min="14" max="14" width="11" bestFit="1" customWidth="1"/>
  </cols>
  <sheetData>
    <row r="1" spans="1:17" ht="15" thickBot="1" x14ac:dyDescent="0.4"/>
    <row r="2" spans="1:17" x14ac:dyDescent="0.35">
      <c r="A2" s="4"/>
      <c r="B2" s="9" t="s">
        <v>13</v>
      </c>
      <c r="C2" s="10"/>
      <c r="D2" s="10"/>
      <c r="E2" s="11" t="s">
        <v>27</v>
      </c>
      <c r="F2" s="12" t="s">
        <v>12</v>
      </c>
      <c r="G2" s="4"/>
      <c r="H2" s="4"/>
      <c r="I2" s="4"/>
      <c r="J2" s="4"/>
      <c r="L2" s="66" t="s">
        <v>26</v>
      </c>
      <c r="M2" s="67"/>
      <c r="N2" s="52"/>
      <c r="O2" s="52"/>
      <c r="P2" s="52"/>
      <c r="Q2" s="52"/>
    </row>
    <row r="3" spans="1:17" x14ac:dyDescent="0.35">
      <c r="A3" s="4"/>
      <c r="B3" s="13" t="s">
        <v>9</v>
      </c>
      <c r="C3" s="14"/>
      <c r="D3" s="14"/>
      <c r="E3" s="14">
        <v>154</v>
      </c>
      <c r="F3" s="15">
        <v>34</v>
      </c>
      <c r="G3" s="4"/>
      <c r="H3" s="4"/>
      <c r="I3" s="4"/>
      <c r="J3" s="4"/>
      <c r="L3" s="52"/>
      <c r="M3" s="52"/>
      <c r="N3" s="52"/>
      <c r="O3" s="52"/>
      <c r="P3" s="52"/>
      <c r="Q3" s="52"/>
    </row>
    <row r="4" spans="1:17" x14ac:dyDescent="0.35">
      <c r="A4" s="4"/>
      <c r="B4" s="13" t="s">
        <v>10</v>
      </c>
      <c r="C4" s="14"/>
      <c r="D4" s="14"/>
      <c r="E4" s="14">
        <v>197</v>
      </c>
      <c r="F4" s="15">
        <v>43</v>
      </c>
      <c r="G4" s="4"/>
      <c r="H4" s="4"/>
      <c r="I4" s="6"/>
      <c r="J4" s="4"/>
      <c r="L4" s="62" t="s">
        <v>33</v>
      </c>
      <c r="M4" s="62" t="s">
        <v>0</v>
      </c>
      <c r="N4" s="62" t="s">
        <v>72</v>
      </c>
      <c r="O4" s="53" t="s">
        <v>1</v>
      </c>
      <c r="P4" s="63"/>
      <c r="Q4" s="63"/>
    </row>
    <row r="5" spans="1:17" x14ac:dyDescent="0.35">
      <c r="A5" s="4"/>
      <c r="B5" s="13" t="s">
        <v>85</v>
      </c>
      <c r="C5" s="14"/>
      <c r="D5" s="14"/>
      <c r="E5" s="14">
        <v>166</v>
      </c>
      <c r="F5" s="15">
        <v>30</v>
      </c>
      <c r="G5" s="4"/>
      <c r="H5" s="4"/>
      <c r="I5" s="4"/>
      <c r="J5" s="4"/>
      <c r="L5" s="62" t="s">
        <v>73</v>
      </c>
      <c r="M5" s="63"/>
      <c r="N5" s="62" t="s">
        <v>74</v>
      </c>
      <c r="O5" s="53" t="s">
        <v>72</v>
      </c>
      <c r="P5" s="63"/>
      <c r="Q5" s="63"/>
    </row>
    <row r="6" spans="1:17" ht="15" thickBot="1" x14ac:dyDescent="0.4">
      <c r="A6" s="4"/>
      <c r="B6" s="16" t="s">
        <v>11</v>
      </c>
      <c r="C6" s="17"/>
      <c r="D6" s="17"/>
      <c r="E6" s="17">
        <v>282</v>
      </c>
      <c r="F6" s="18">
        <v>60</v>
      </c>
      <c r="G6" s="4"/>
      <c r="H6" s="4"/>
      <c r="I6" s="4"/>
      <c r="J6" s="4"/>
      <c r="L6" s="64">
        <v>4.0000000000000001E+27</v>
      </c>
      <c r="M6" s="63">
        <v>1.17E-4</v>
      </c>
      <c r="N6" s="64">
        <v>5.5400000000000005E-10</v>
      </c>
      <c r="O6" s="63">
        <v>0.1048</v>
      </c>
      <c r="P6" s="63"/>
      <c r="Q6" s="63"/>
    </row>
    <row r="7" spans="1:17" x14ac:dyDescent="0.35">
      <c r="A7" s="19" t="s">
        <v>29</v>
      </c>
      <c r="B7" s="4"/>
      <c r="C7" s="4"/>
      <c r="D7" s="4"/>
      <c r="E7" s="4"/>
      <c r="F7" s="4"/>
      <c r="G7" s="4"/>
      <c r="H7" s="4"/>
      <c r="I7" s="4"/>
      <c r="J7" s="4"/>
      <c r="L7" s="63"/>
      <c r="M7" s="63"/>
      <c r="N7" s="63"/>
      <c r="O7" s="63"/>
      <c r="P7" s="63"/>
      <c r="Q7" s="63"/>
    </row>
    <row r="8" spans="1:17" x14ac:dyDescent="0.35">
      <c r="A8" s="4"/>
      <c r="B8" s="4"/>
      <c r="C8" s="4"/>
      <c r="D8" s="4"/>
      <c r="E8" s="4"/>
      <c r="F8" s="4"/>
      <c r="G8" s="4"/>
      <c r="H8" s="4"/>
      <c r="I8" s="4"/>
      <c r="J8" s="4"/>
      <c r="L8" s="63"/>
      <c r="M8" s="63"/>
      <c r="N8" s="63"/>
      <c r="O8" s="63"/>
      <c r="P8" s="63"/>
      <c r="Q8" s="63"/>
    </row>
    <row r="9" spans="1:17" x14ac:dyDescent="0.35">
      <c r="A9" s="4"/>
      <c r="B9" s="6" t="s">
        <v>28</v>
      </c>
      <c r="C9" s="4"/>
      <c r="D9" s="8">
        <v>282</v>
      </c>
      <c r="E9" s="4"/>
      <c r="F9" s="4"/>
      <c r="G9" s="4"/>
      <c r="H9" s="4"/>
      <c r="I9" s="4"/>
      <c r="J9" s="4"/>
      <c r="L9" s="62" t="s">
        <v>4</v>
      </c>
      <c r="M9" s="62"/>
      <c r="N9" s="62" t="s">
        <v>5</v>
      </c>
      <c r="O9" s="62"/>
      <c r="P9" s="62" t="s">
        <v>6</v>
      </c>
      <c r="Q9" s="62"/>
    </row>
    <row r="10" spans="1:17" x14ac:dyDescent="0.35">
      <c r="A10" s="4"/>
      <c r="B10" s="6"/>
      <c r="C10" s="4"/>
      <c r="D10" s="4"/>
      <c r="E10" s="4"/>
      <c r="F10" s="4"/>
      <c r="G10" s="4"/>
      <c r="H10" s="4"/>
      <c r="I10" s="4"/>
      <c r="J10" s="4"/>
      <c r="L10" s="62" t="s">
        <v>74</v>
      </c>
      <c r="M10" s="62"/>
      <c r="N10" s="62" t="s">
        <v>74</v>
      </c>
      <c r="O10" s="62"/>
      <c r="P10" s="62" t="s">
        <v>74</v>
      </c>
      <c r="Q10" s="62"/>
    </row>
    <row r="11" spans="1:17" x14ac:dyDescent="0.35">
      <c r="A11" s="4"/>
      <c r="B11" s="4" t="s">
        <v>31</v>
      </c>
      <c r="C11" s="4"/>
      <c r="D11" s="4"/>
      <c r="E11" s="4"/>
      <c r="F11" s="5">
        <f>((D9*0.000001)*L6)/39.098</f>
        <v>2.8850580592357661E+22</v>
      </c>
      <c r="G11" s="4"/>
      <c r="H11" s="4"/>
      <c r="I11" s="4"/>
      <c r="J11" s="4"/>
      <c r="L11" s="65">
        <v>1.5510000000000001E-10</v>
      </c>
      <c r="M11" s="65"/>
      <c r="N11" s="64">
        <v>9.8489999999999998E-10</v>
      </c>
      <c r="O11" s="65"/>
      <c r="P11" s="64">
        <v>4.9329999999999999E-11</v>
      </c>
      <c r="Q11" s="63"/>
    </row>
    <row r="12" spans="1:17" x14ac:dyDescent="0.35">
      <c r="A12" s="4"/>
      <c r="B12" s="4" t="s">
        <v>34</v>
      </c>
      <c r="C12" s="4"/>
      <c r="D12" s="4"/>
      <c r="E12" s="4"/>
      <c r="F12" s="5">
        <f>F11*M6</f>
        <v>3.3755179293058463E+18</v>
      </c>
      <c r="G12" s="4"/>
      <c r="H12" s="4"/>
      <c r="I12" s="4"/>
      <c r="J12" s="4"/>
      <c r="L12" s="63"/>
      <c r="M12" s="63"/>
      <c r="N12" s="63"/>
      <c r="O12" s="63"/>
      <c r="P12" s="63"/>
      <c r="Q12" s="63"/>
    </row>
    <row r="13" spans="1:17" x14ac:dyDescent="0.35">
      <c r="A13" s="4"/>
      <c r="B13" s="4" t="s">
        <v>32</v>
      </c>
      <c r="C13" s="4"/>
      <c r="D13" s="4"/>
      <c r="E13" s="4"/>
      <c r="F13" s="4">
        <v>0</v>
      </c>
      <c r="G13" s="6" t="s">
        <v>88</v>
      </c>
      <c r="H13" s="4"/>
      <c r="I13" s="4"/>
      <c r="J13" s="4"/>
      <c r="L13" s="63"/>
      <c r="M13" s="63"/>
      <c r="N13" s="63"/>
      <c r="O13" s="63"/>
      <c r="P13" s="63"/>
      <c r="Q13" s="63"/>
    </row>
    <row r="14" spans="1:17" x14ac:dyDescent="0.35">
      <c r="A14" s="4"/>
      <c r="B14" s="4" t="s">
        <v>30</v>
      </c>
      <c r="C14" s="4"/>
      <c r="D14" s="4"/>
      <c r="E14" s="4"/>
      <c r="F14" s="5">
        <f>F13+($F$12*O6*(EXP($N$6*L16)-1))</f>
        <v>4.0704359649316741E+18</v>
      </c>
      <c r="G14" s="6" t="s">
        <v>87</v>
      </c>
      <c r="H14" s="4"/>
      <c r="I14" s="4"/>
      <c r="J14" s="4"/>
      <c r="L14" s="62" t="s">
        <v>2</v>
      </c>
      <c r="M14" s="63"/>
      <c r="N14" s="62" t="s">
        <v>38</v>
      </c>
      <c r="O14" s="63"/>
      <c r="P14" s="63"/>
      <c r="Q14" s="63"/>
    </row>
    <row r="15" spans="1:17" x14ac:dyDescent="0.35">
      <c r="A15" s="19" t="s">
        <v>35</v>
      </c>
      <c r="B15" s="4"/>
      <c r="C15" s="4"/>
      <c r="D15" s="4"/>
      <c r="E15" s="4"/>
      <c r="F15" s="4"/>
      <c r="G15" s="4"/>
      <c r="H15" s="4"/>
      <c r="I15" s="4"/>
      <c r="J15" s="4"/>
      <c r="L15" s="62" t="s">
        <v>75</v>
      </c>
      <c r="M15" s="63"/>
      <c r="N15" s="64">
        <v>1.39E-6</v>
      </c>
      <c r="O15" s="63"/>
      <c r="P15" s="63"/>
      <c r="Q15" s="64"/>
    </row>
    <row r="16" spans="1:17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L16" s="64">
        <v>4560000000</v>
      </c>
      <c r="M16" s="63"/>
      <c r="N16" s="63"/>
      <c r="O16" s="63"/>
      <c r="P16" s="63"/>
      <c r="Q16" s="63"/>
    </row>
    <row r="17" spans="1:17" ht="15" thickBot="1" x14ac:dyDescent="0.4">
      <c r="A17" s="4"/>
      <c r="B17" s="6" t="s">
        <v>14</v>
      </c>
      <c r="C17" s="4"/>
      <c r="D17" s="4"/>
      <c r="E17" s="4">
        <f>78000000000000000000/40</f>
        <v>1.95E+18</v>
      </c>
      <c r="F17" s="4"/>
      <c r="G17" s="4"/>
      <c r="H17" s="4"/>
      <c r="I17" s="4"/>
      <c r="J17" s="4"/>
      <c r="L17" s="63"/>
      <c r="M17" s="63"/>
      <c r="N17" s="63"/>
      <c r="O17" s="63"/>
      <c r="P17" s="63"/>
      <c r="Q17" s="63"/>
    </row>
    <row r="18" spans="1:17" ht="15" thickBot="1" x14ac:dyDescent="0.4">
      <c r="A18" s="4"/>
      <c r="B18" s="70" t="s">
        <v>15</v>
      </c>
      <c r="C18" s="71"/>
      <c r="D18" s="71"/>
      <c r="E18" s="72">
        <f>F14-E17</f>
        <v>2.1204359649316741E+18</v>
      </c>
      <c r="F18" s="4"/>
      <c r="G18" s="4"/>
      <c r="H18" s="4"/>
      <c r="I18" s="4"/>
      <c r="J18" s="4"/>
    </row>
    <row r="19" spans="1:17" x14ac:dyDescent="0.35">
      <c r="A19" s="4"/>
      <c r="B19" s="6" t="s">
        <v>24</v>
      </c>
      <c r="C19" s="4"/>
      <c r="D19" s="4"/>
      <c r="E19" s="7">
        <f>E18/F14</f>
        <v>0.5209358366523934</v>
      </c>
      <c r="F19" s="4"/>
      <c r="G19" s="4"/>
      <c r="H19" s="4"/>
      <c r="I19" s="4"/>
      <c r="J19" s="4"/>
    </row>
    <row r="20" spans="1:17" x14ac:dyDescent="0.35">
      <c r="A20" s="4"/>
      <c r="B20" s="6"/>
      <c r="C20" s="4"/>
      <c r="D20" s="4"/>
      <c r="E20" s="7"/>
      <c r="F20" s="4"/>
      <c r="G20" s="4"/>
      <c r="H20" s="4"/>
      <c r="I20" s="4"/>
      <c r="J20" s="4"/>
    </row>
    <row r="22" spans="1:17" x14ac:dyDescent="0.35">
      <c r="A22" s="21" t="s">
        <v>36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7" x14ac:dyDescent="0.35">
      <c r="A23" s="23"/>
      <c r="B23" s="24" t="s">
        <v>37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7" ht="15" thickBot="1" x14ac:dyDescent="0.4">
      <c r="A24" s="22"/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7" x14ac:dyDescent="0.35">
      <c r="A25" s="22"/>
      <c r="B25" s="22"/>
      <c r="C25" s="22"/>
      <c r="D25" s="22"/>
      <c r="E25" s="25" t="s">
        <v>40</v>
      </c>
      <c r="F25" s="22"/>
      <c r="G25" s="22"/>
      <c r="H25" s="22"/>
      <c r="I25" s="26" t="s">
        <v>41</v>
      </c>
      <c r="J25" s="27" t="s">
        <v>7</v>
      </c>
      <c r="K25" s="28" t="s">
        <v>70</v>
      </c>
      <c r="L25" s="29"/>
    </row>
    <row r="26" spans="1:17" x14ac:dyDescent="0.35">
      <c r="A26" s="22"/>
      <c r="B26" s="23" t="s">
        <v>54</v>
      </c>
      <c r="C26" s="22"/>
      <c r="D26" s="22"/>
      <c r="E26" s="25" t="s">
        <v>16</v>
      </c>
      <c r="F26" s="49">
        <v>527</v>
      </c>
      <c r="G26" s="22"/>
      <c r="H26" s="22"/>
      <c r="I26" s="31">
        <v>527</v>
      </c>
      <c r="J26" s="32">
        <v>102</v>
      </c>
      <c r="K26" s="33" t="s">
        <v>55</v>
      </c>
      <c r="L26" s="34"/>
    </row>
    <row r="27" spans="1:17" ht="15" thickBot="1" x14ac:dyDescent="0.4">
      <c r="A27" s="22"/>
      <c r="B27" s="23"/>
      <c r="C27" s="22"/>
      <c r="D27" s="22"/>
      <c r="E27" s="25"/>
      <c r="F27" s="30"/>
      <c r="G27" s="30"/>
      <c r="H27" s="22"/>
      <c r="I27" s="35">
        <v>1050</v>
      </c>
      <c r="J27" s="36"/>
      <c r="K27" s="36" t="s">
        <v>56</v>
      </c>
      <c r="L27" s="37"/>
    </row>
    <row r="28" spans="1:17" x14ac:dyDescent="0.35">
      <c r="A28" s="22"/>
      <c r="B28" s="23" t="s">
        <v>39</v>
      </c>
      <c r="C28" s="22"/>
      <c r="D28" s="22"/>
      <c r="E28" s="25" t="s">
        <v>42</v>
      </c>
      <c r="F28" s="30">
        <v>8</v>
      </c>
      <c r="G28" s="30"/>
      <c r="H28" s="22"/>
      <c r="I28" s="22"/>
      <c r="J28" s="22"/>
      <c r="K28" s="22"/>
      <c r="L28" s="22"/>
    </row>
    <row r="29" spans="1:17" x14ac:dyDescent="0.35">
      <c r="A29" s="22"/>
      <c r="B29" s="23" t="s">
        <v>43</v>
      </c>
      <c r="C29" s="22"/>
      <c r="D29" s="22"/>
      <c r="E29" s="25"/>
      <c r="F29" s="38">
        <f>1/(F28*N15)</f>
        <v>89928.057553956838</v>
      </c>
      <c r="G29" s="22"/>
      <c r="H29" s="22"/>
      <c r="I29" s="22"/>
      <c r="J29" s="22"/>
      <c r="K29" s="22"/>
      <c r="L29" s="22"/>
    </row>
    <row r="30" spans="1:17" x14ac:dyDescent="0.35">
      <c r="A30" s="22"/>
      <c r="B30" s="23" t="s">
        <v>8</v>
      </c>
      <c r="C30" s="22"/>
      <c r="D30" s="22"/>
      <c r="E30" s="25" t="s">
        <v>16</v>
      </c>
      <c r="F30" s="38">
        <f>F26*F29</f>
        <v>47392086.330935255</v>
      </c>
      <c r="G30" s="22"/>
      <c r="H30" s="22"/>
      <c r="I30" s="22"/>
      <c r="J30" s="22"/>
      <c r="K30" s="22"/>
      <c r="L30" s="22"/>
    </row>
    <row r="31" spans="1:17" x14ac:dyDescent="0.35">
      <c r="A31" s="22"/>
      <c r="B31" s="23" t="s">
        <v>44</v>
      </c>
      <c r="C31" s="22"/>
      <c r="D31" s="22"/>
      <c r="E31" s="25" t="s">
        <v>45</v>
      </c>
      <c r="F31" s="38">
        <v>7E+17</v>
      </c>
      <c r="G31" s="22"/>
      <c r="H31" s="22"/>
      <c r="I31" s="22"/>
      <c r="J31" s="22"/>
      <c r="K31" s="38"/>
      <c r="L31" s="22"/>
    </row>
    <row r="32" spans="1:17" x14ac:dyDescent="0.35">
      <c r="A32" s="22"/>
      <c r="B32" s="23" t="s">
        <v>46</v>
      </c>
      <c r="C32" s="22"/>
      <c r="D32" s="23"/>
      <c r="E32" s="25" t="s">
        <v>19</v>
      </c>
      <c r="F32" s="38">
        <f>F30/F31</f>
        <v>6.7702980472764646E-11</v>
      </c>
      <c r="G32" s="22"/>
      <c r="H32" s="22"/>
      <c r="I32" s="22"/>
      <c r="J32" s="23"/>
      <c r="K32" s="22"/>
      <c r="L32" s="22"/>
    </row>
    <row r="33" spans="1:12" x14ac:dyDescent="0.35">
      <c r="A33" s="22"/>
      <c r="B33" s="23"/>
      <c r="C33" s="22"/>
      <c r="D33" s="22"/>
      <c r="E33" s="22"/>
      <c r="F33" s="22"/>
      <c r="G33" s="22"/>
      <c r="H33" s="23"/>
      <c r="I33" s="22"/>
      <c r="J33" s="23"/>
      <c r="K33" s="22"/>
      <c r="L33" s="22"/>
    </row>
    <row r="34" spans="1:12" x14ac:dyDescent="0.35">
      <c r="A34" s="22"/>
      <c r="B34" s="23" t="s">
        <v>53</v>
      </c>
      <c r="C34" s="22"/>
      <c r="D34" s="22"/>
      <c r="E34" s="22"/>
      <c r="F34" s="22"/>
      <c r="G34" s="22"/>
      <c r="H34" s="38"/>
      <c r="I34" s="22"/>
      <c r="J34" s="22"/>
      <c r="K34" s="22"/>
      <c r="L34" s="22"/>
    </row>
    <row r="35" spans="1:12" x14ac:dyDescent="0.35">
      <c r="A35" s="22"/>
      <c r="B35" s="22"/>
      <c r="C35" s="39" t="s">
        <v>47</v>
      </c>
      <c r="D35" s="39" t="s">
        <v>48</v>
      </c>
      <c r="E35" s="22"/>
      <c r="F35" s="22"/>
      <c r="G35" s="22"/>
      <c r="H35" s="22"/>
      <c r="I35" s="22"/>
      <c r="J35" s="22"/>
      <c r="K35" s="22"/>
      <c r="L35" s="22"/>
    </row>
    <row r="36" spans="1:12" ht="15" thickBot="1" x14ac:dyDescent="0.4">
      <c r="A36" s="22"/>
      <c r="B36" s="22"/>
      <c r="C36" s="22"/>
      <c r="D36" s="39" t="s">
        <v>20</v>
      </c>
      <c r="E36" s="22"/>
      <c r="F36" s="22"/>
      <c r="G36" s="22"/>
      <c r="H36" s="22"/>
      <c r="I36" s="22"/>
      <c r="J36" s="22"/>
      <c r="K36" s="22"/>
      <c r="L36" s="22"/>
    </row>
    <row r="37" spans="1:12" x14ac:dyDescent="0.35">
      <c r="A37" s="22"/>
      <c r="B37" s="22"/>
      <c r="C37" s="40" t="s">
        <v>49</v>
      </c>
      <c r="D37" s="20">
        <v>3</v>
      </c>
      <c r="E37" s="22"/>
      <c r="F37" s="22"/>
      <c r="G37" s="22"/>
      <c r="H37" s="22"/>
      <c r="I37" s="22"/>
      <c r="J37" s="41" t="s">
        <v>21</v>
      </c>
      <c r="K37" s="28"/>
      <c r="L37" s="29"/>
    </row>
    <row r="38" spans="1:12" x14ac:dyDescent="0.35">
      <c r="A38" s="22"/>
      <c r="B38" s="22"/>
      <c r="C38" s="40" t="s">
        <v>50</v>
      </c>
      <c r="D38" s="44">
        <v>13800</v>
      </c>
      <c r="E38" s="22"/>
      <c r="F38" s="22"/>
      <c r="G38" s="22"/>
      <c r="H38" s="22"/>
      <c r="I38" s="22"/>
      <c r="J38" s="42">
        <v>13800</v>
      </c>
      <c r="K38" s="33" t="s">
        <v>57</v>
      </c>
      <c r="L38" s="34"/>
    </row>
    <row r="39" spans="1:12" ht="15" thickBot="1" x14ac:dyDescent="0.4">
      <c r="A39" s="22"/>
      <c r="B39" s="22"/>
      <c r="C39" s="23" t="s">
        <v>51</v>
      </c>
      <c r="D39" s="38">
        <f>D38*(238.029/39.098)</f>
        <v>84014.532712670727</v>
      </c>
      <c r="E39" s="22"/>
      <c r="F39" s="22"/>
      <c r="G39" s="20"/>
      <c r="H39" s="22"/>
      <c r="I39" s="22"/>
      <c r="J39" s="43">
        <v>18100</v>
      </c>
      <c r="K39" s="36" t="s">
        <v>58</v>
      </c>
      <c r="L39" s="37"/>
    </row>
    <row r="40" spans="1:12" x14ac:dyDescent="0.3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x14ac:dyDescent="0.35">
      <c r="A41" s="22"/>
      <c r="B41" s="23" t="s">
        <v>52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x14ac:dyDescent="0.35">
      <c r="A42" s="22"/>
      <c r="B42" s="23" t="s">
        <v>59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5" thickBot="1" x14ac:dyDescent="0.4">
      <c r="A43" s="22"/>
      <c r="B43" s="22"/>
      <c r="C43" s="23" t="s">
        <v>71</v>
      </c>
      <c r="D43" s="22"/>
      <c r="E43" s="45">
        <v>2000000000</v>
      </c>
      <c r="F43" s="22"/>
      <c r="G43" s="68" t="s">
        <v>76</v>
      </c>
      <c r="H43" s="22"/>
      <c r="I43" s="22"/>
      <c r="J43" s="22"/>
      <c r="K43" s="22"/>
      <c r="L43" s="22"/>
    </row>
    <row r="44" spans="1:12" ht="15" thickBot="1" x14ac:dyDescent="0.4">
      <c r="A44" s="22"/>
      <c r="B44" s="22"/>
      <c r="C44" s="46" t="s">
        <v>3</v>
      </c>
      <c r="D44" s="47">
        <f>(8*(EXP($L$11*E43)-1)+7*(1/137.88)*(EXP($N$11*E43)-1)+6*$D$37*(EXP($P$11*E43)-1))/($D$39*0.0000123*(EXP($N$6*E43)-1))</f>
        <v>2.4280680992180237</v>
      </c>
      <c r="E44" s="22"/>
      <c r="F44" s="22"/>
      <c r="G44" s="22"/>
      <c r="H44" s="22"/>
      <c r="I44" s="22"/>
      <c r="J44" s="22"/>
      <c r="K44" s="22"/>
      <c r="L44" s="22"/>
    </row>
    <row r="45" spans="1:12" ht="15" thickBot="1" x14ac:dyDescent="0.4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5" thickBot="1" x14ac:dyDescent="0.4">
      <c r="A46" s="22"/>
      <c r="B46" s="23" t="s">
        <v>60</v>
      </c>
      <c r="C46" s="22"/>
      <c r="D46" s="22"/>
      <c r="E46" s="25" t="s">
        <v>19</v>
      </c>
      <c r="F46" s="48">
        <f>F32/D44</f>
        <v>2.7883476783278388E-11</v>
      </c>
      <c r="G46" s="22"/>
      <c r="H46" s="22"/>
      <c r="I46" s="22"/>
      <c r="J46" s="22"/>
      <c r="K46" s="22"/>
      <c r="L46" s="22"/>
    </row>
    <row r="47" spans="1:12" x14ac:dyDescent="0.35">
      <c r="A47" s="22"/>
      <c r="B47" s="23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s="50" customFormat="1" x14ac:dyDescent="0.35">
      <c r="B48" s="51"/>
    </row>
    <row r="49" spans="1:7" s="50" customFormat="1" x14ac:dyDescent="0.35">
      <c r="B49" s="51"/>
    </row>
    <row r="50" spans="1:7" x14ac:dyDescent="0.35">
      <c r="A50" s="54" t="s">
        <v>61</v>
      </c>
      <c r="B50" s="55"/>
      <c r="C50" s="55"/>
      <c r="D50" s="55"/>
      <c r="E50" s="55"/>
    </row>
    <row r="51" spans="1:7" x14ac:dyDescent="0.35">
      <c r="A51" s="56"/>
      <c r="B51" s="55" t="s">
        <v>78</v>
      </c>
      <c r="C51" s="55"/>
      <c r="D51" s="61">
        <v>0.95</v>
      </c>
      <c r="E51" s="69" t="s">
        <v>77</v>
      </c>
    </row>
    <row r="52" spans="1:7" x14ac:dyDescent="0.35">
      <c r="A52" s="55"/>
      <c r="B52" s="55" t="s">
        <v>62</v>
      </c>
      <c r="C52" s="55"/>
      <c r="D52" s="56">
        <f>$L$6*D51</f>
        <v>3.7999999999999997E+27</v>
      </c>
      <c r="E52" s="55"/>
    </row>
    <row r="53" spans="1:7" x14ac:dyDescent="0.35">
      <c r="A53" s="55"/>
      <c r="B53" s="55" t="s">
        <v>63</v>
      </c>
      <c r="C53" s="55"/>
      <c r="D53" s="56">
        <f>F46*D52</f>
        <v>1.0595721177645786E+17</v>
      </c>
      <c r="E53" s="55"/>
    </row>
    <row r="54" spans="1:7" x14ac:dyDescent="0.35">
      <c r="A54" s="55"/>
      <c r="B54" s="55"/>
      <c r="C54" s="55"/>
      <c r="D54" s="55"/>
      <c r="E54" s="55"/>
    </row>
    <row r="55" spans="1:7" ht="15" thickBot="1" x14ac:dyDescent="0.4">
      <c r="A55" s="54" t="s">
        <v>64</v>
      </c>
      <c r="B55" s="55"/>
      <c r="C55" s="55"/>
      <c r="D55" s="55"/>
      <c r="E55" s="55"/>
    </row>
    <row r="56" spans="1:7" ht="15" thickBot="1" x14ac:dyDescent="0.4">
      <c r="A56" s="55"/>
      <c r="B56" s="75" t="s">
        <v>65</v>
      </c>
      <c r="C56" s="76"/>
      <c r="D56" s="76"/>
      <c r="E56" s="77">
        <f>D53/F14</f>
        <v>2.6030924620684074E-2</v>
      </c>
      <c r="G56" s="2"/>
    </row>
    <row r="57" spans="1:7" ht="15" thickBot="1" x14ac:dyDescent="0.4">
      <c r="A57" s="55"/>
      <c r="B57" s="74"/>
      <c r="C57" s="74"/>
      <c r="D57" s="74"/>
      <c r="E57" s="74"/>
    </row>
    <row r="58" spans="1:7" x14ac:dyDescent="0.35">
      <c r="A58" s="55"/>
      <c r="B58" s="78" t="s">
        <v>66</v>
      </c>
      <c r="C58" s="79"/>
      <c r="D58" s="79" t="s">
        <v>17</v>
      </c>
      <c r="E58" s="80">
        <f>E18-D53</f>
        <v>2.0144787531552164E+18</v>
      </c>
    </row>
    <row r="59" spans="1:7" ht="15" thickBot="1" x14ac:dyDescent="0.4">
      <c r="A59" s="55"/>
      <c r="B59" s="81"/>
      <c r="C59" s="82"/>
      <c r="D59" s="84" t="s">
        <v>86</v>
      </c>
      <c r="E59" s="83">
        <f>E58/F14</f>
        <v>0.49490491203170939</v>
      </c>
    </row>
    <row r="60" spans="1:7" x14ac:dyDescent="0.35">
      <c r="A60" s="55"/>
      <c r="B60" s="55"/>
      <c r="C60" s="55"/>
      <c r="D60" s="55"/>
      <c r="E60" s="55"/>
    </row>
    <row r="61" spans="1:7" x14ac:dyDescent="0.35">
      <c r="A61" s="55"/>
      <c r="B61" s="73" t="s">
        <v>67</v>
      </c>
      <c r="C61" s="55"/>
      <c r="D61" s="55"/>
      <c r="E61" s="56">
        <f>L6*(1-D51)</f>
        <v>2.0000000000000018E+26</v>
      </c>
    </row>
    <row r="62" spans="1:7" x14ac:dyDescent="0.35">
      <c r="A62" s="55"/>
      <c r="B62" s="73" t="s">
        <v>25</v>
      </c>
      <c r="C62" s="55"/>
      <c r="D62" s="55"/>
      <c r="E62" s="55"/>
    </row>
    <row r="63" spans="1:7" x14ac:dyDescent="0.35">
      <c r="A63" s="55"/>
      <c r="B63" s="57" t="s">
        <v>18</v>
      </c>
      <c r="C63" s="55"/>
      <c r="D63" s="58" t="s">
        <v>19</v>
      </c>
      <c r="E63" s="56">
        <f>E58/E61</f>
        <v>1.0072393765776073E-8</v>
      </c>
    </row>
    <row r="64" spans="1:7" x14ac:dyDescent="0.35">
      <c r="A64" s="55"/>
      <c r="B64" s="55"/>
      <c r="C64" s="55"/>
      <c r="D64" s="55"/>
      <c r="E64" s="55"/>
    </row>
    <row r="65" spans="1:7" x14ac:dyDescent="0.35">
      <c r="A65" s="55"/>
      <c r="B65" s="57" t="s">
        <v>22</v>
      </c>
      <c r="C65" s="55"/>
      <c r="D65" s="59" t="s">
        <v>23</v>
      </c>
      <c r="E65" s="60">
        <f>((E63/(M6*O6*(EXP(N6*L16)-1)))*40)*1000000</f>
        <v>2855.6588100248991</v>
      </c>
      <c r="G65" s="2" t="s">
        <v>79</v>
      </c>
    </row>
    <row r="66" spans="1:7" x14ac:dyDescent="0.35">
      <c r="A66" s="55"/>
      <c r="B66" s="55"/>
      <c r="C66" s="55"/>
      <c r="D66" s="55"/>
      <c r="E66" s="56"/>
      <c r="F66" s="1"/>
      <c r="G66" s="3"/>
    </row>
    <row r="67" spans="1:7" x14ac:dyDescent="0.35">
      <c r="A67" s="55"/>
      <c r="B67" s="57" t="s">
        <v>68</v>
      </c>
      <c r="C67" s="55"/>
      <c r="D67" s="55"/>
      <c r="E67" s="60">
        <f>E63/F46</f>
        <v>361.23162990263995</v>
      </c>
    </row>
    <row r="68" spans="1:7" x14ac:dyDescent="0.35">
      <c r="A68" s="55"/>
      <c r="B68" s="55" t="s">
        <v>69</v>
      </c>
      <c r="C68" s="55"/>
      <c r="D68" s="55"/>
      <c r="E68" s="55"/>
    </row>
    <row r="69" spans="1:7" x14ac:dyDescent="0.35">
      <c r="A69" s="50"/>
      <c r="G69" s="1"/>
    </row>
    <row r="70" spans="1:7" x14ac:dyDescent="0.35">
      <c r="A70" s="50"/>
      <c r="G70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14E08-0BA1-4400-AE77-B99CA558F72E}">
  <dimension ref="A1:A36"/>
  <sheetViews>
    <sheetView tabSelected="1" topLeftCell="A19" workbookViewId="0">
      <selection activeCell="A37" sqref="A37"/>
    </sheetView>
  </sheetViews>
  <sheetFormatPr defaultRowHeight="14.5" x14ac:dyDescent="0.35"/>
  <sheetData>
    <row r="1" spans="1:1" x14ac:dyDescent="0.35">
      <c r="A1" t="s">
        <v>80</v>
      </c>
    </row>
    <row r="8" spans="1:1" x14ac:dyDescent="0.35">
      <c r="A8" t="s">
        <v>81</v>
      </c>
    </row>
    <row r="15" spans="1:1" x14ac:dyDescent="0.35">
      <c r="A15" t="s">
        <v>82</v>
      </c>
    </row>
    <row r="21" spans="1:1" x14ac:dyDescent="0.35">
      <c r="A21" t="s">
        <v>83</v>
      </c>
    </row>
    <row r="28" spans="1:1" x14ac:dyDescent="0.35">
      <c r="A28" t="s">
        <v>84</v>
      </c>
    </row>
    <row r="29" spans="1:1" x14ac:dyDescent="0.35">
      <c r="A29" t="s">
        <v>89</v>
      </c>
    </row>
    <row r="36" spans="1:1" x14ac:dyDescent="0.35">
      <c r="A3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Exercises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Sujoy</dc:creator>
  <cp:lastModifiedBy>Rita</cp:lastModifiedBy>
  <dcterms:created xsi:type="dcterms:W3CDTF">2012-07-26T06:56:48Z</dcterms:created>
  <dcterms:modified xsi:type="dcterms:W3CDTF">2018-07-17T17:47:42Z</dcterms:modified>
</cp:coreProperties>
</file>